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umptions" sheetId="1" state="visible" r:id="rId3"/>
    <sheet name="Model" sheetId="2" state="visible" r:id="rId4"/>
    <sheet name="Fix Mix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<sst xmlns="http://schemas.openxmlformats.org/spreadsheetml/2006/main" count="89" uniqueCount="77">
  <si>
    <t xml:space="preserve">RestockIQ · Business Case</t>
  </si>
  <si>
    <t xml:space="preserve">Jahnvi Raichura · Portfolio case study · Illustrative sample data</t>
  </si>
  <si>
    <t xml:space="preserve">Assumption</t>
  </si>
  <si>
    <t xml:space="preserve">Value</t>
  </si>
  <si>
    <t xml:space="preserve">Unit</t>
  </si>
  <si>
    <t xml:space="preserve">Source / note</t>
  </si>
  <si>
    <t xml:space="preserve">Annual revenue through the 3 retail partners</t>
  </si>
  <si>
    <t xml:space="preserve">$/yr</t>
  </si>
  <si>
    <t xml:space="preserve">Brand sell-through revenue (sample)</t>
  </si>
  <si>
    <t xml:space="preserve">Lost sales from stock-outs, before</t>
  </si>
  <si>
    <t xml:space="preserve">% of revenue</t>
  </si>
  <si>
    <t xml:space="preserve">One-season audit</t>
  </si>
  <si>
    <t xml:space="preserve">Stock-outs prevented by RestockIQ</t>
  </si>
  <si>
    <t xml:space="preserve">%</t>
  </si>
  <si>
    <t xml:space="preserve">Pilot vs. control stores</t>
  </si>
  <si>
    <t xml:space="preserve">Gross margin on recovered sales</t>
  </si>
  <si>
    <t xml:space="preserve">Brand margin (sample)</t>
  </si>
  <si>
    <t xml:space="preserve">Stock-outs per week, before (all stores)</t>
  </si>
  <si>
    <t xml:space="preserve">per week</t>
  </si>
  <si>
    <t xml:space="preserve">Baseline count</t>
  </si>
  <si>
    <t xml:space="preserve">Share of fixes: transfer</t>
  </si>
  <si>
    <t xml:space="preserve">Pilot</t>
  </si>
  <si>
    <t xml:space="preserve">Share of fixes: expedite</t>
  </si>
  <si>
    <t xml:space="preserve">Share of fixes: priority reorder</t>
  </si>
  <si>
    <t xml:space="preserve">Cost per transfer</t>
  </si>
  <si>
    <t xml:space="preserve">$</t>
  </si>
  <si>
    <t xml:space="preserve">Store-to-store shuttle</t>
  </si>
  <si>
    <t xml:space="preserve">Cost per expedite</t>
  </si>
  <si>
    <t xml:space="preserve">Freight premium</t>
  </si>
  <si>
    <t xml:space="preserve">Cost per priority reorder</t>
  </si>
  <si>
    <t xml:space="preserve">Freight premium + handling</t>
  </si>
  <si>
    <t xml:space="preserve">Weeks per year</t>
  </si>
  <si>
    <t xml:space="preserve">weeks</t>
  </si>
  <si>
    <t xml:space="preserve">One-time build and data integration</t>
  </si>
  <si>
    <t xml:space="preserve">3 retailer feeds</t>
  </si>
  <si>
    <t xml:space="preserve">Annual run cost</t>
  </si>
  <si>
    <t xml:space="preserve">Hosting, data, support</t>
  </si>
  <si>
    <t xml:space="preserve">Year 1 coverage (share of full benefit)</t>
  </si>
  <si>
    <t xml:space="preserve">Pilot M3–M4, rollout M6</t>
  </si>
  <si>
    <t xml:space="preserve">Discount rate</t>
  </si>
  <si>
    <t xml:space="preserve">Corporate hurdle rate (sample)</t>
  </si>
  <si>
    <t xml:space="preserve">Colour key: blue = input you can change · black = formula · green = linked from Assumptions sheet</t>
  </si>
  <si>
    <t xml:space="preserve">RestockIQ · 3-Year Value Model</t>
  </si>
  <si>
    <t xml:space="preserve">All values calculated from the Assumptions sheet</t>
  </si>
  <si>
    <t xml:space="preserve">($)</t>
  </si>
  <si>
    <t xml:space="preserve">Year 0</t>
  </si>
  <si>
    <t xml:space="preserve">Year 1</t>
  </si>
  <si>
    <t xml:space="preserve">Year 2</t>
  </si>
  <si>
    <t xml:space="preserve">Year 3</t>
  </si>
  <si>
    <t xml:space="preserve">Coverage</t>
  </si>
  <si>
    <t xml:space="preserve">Lost sales recovered</t>
  </si>
  <si>
    <t xml:space="preserve">Gross profit on recovered sales</t>
  </si>
  <si>
    <t xml:space="preserve">Stock-outs prevented per year</t>
  </si>
  <si>
    <t xml:space="preserve">Blended cost per fix</t>
  </si>
  <si>
    <t xml:space="preserve">Cost of fixes</t>
  </si>
  <si>
    <t xml:space="preserve">Net operating benefit</t>
  </si>
  <si>
    <t xml:space="preserve">Build and integration</t>
  </si>
  <si>
    <t xml:space="preserve">Run cost</t>
  </si>
  <si>
    <t xml:space="preserve">Total cost</t>
  </si>
  <si>
    <t xml:space="preserve">Net benefit</t>
  </si>
  <si>
    <t xml:space="preserve">Cumulative net benefit</t>
  </si>
  <si>
    <t xml:space="preserve">Key results</t>
  </si>
  <si>
    <t xml:space="preserve">NPV (3 years)</t>
  </si>
  <si>
    <t xml:space="preserve">Lost sales recovered per season (full year ÷ 4)</t>
  </si>
  <si>
    <t xml:space="preserve">Return on investment (3 years)</t>
  </si>
  <si>
    <t xml:space="preserve">Payback (months)</t>
  </si>
  <si>
    <t xml:space="preserve">RestockIQ · Why transfer first</t>
  </si>
  <si>
    <t xml:space="preserve">Annual cost of fixes under different fix strategies (full year)</t>
  </si>
  <si>
    <t xml:space="preserve">Strategy</t>
  </si>
  <si>
    <t xml:space="preserve">Transfer %</t>
  </si>
  <si>
    <t xml:space="preserve">Expedite %</t>
  </si>
  <si>
    <t xml:space="preserve">Reorder %</t>
  </si>
  <si>
    <t xml:space="preserve">Annual fix cost</t>
  </si>
  <si>
    <t xml:space="preserve">RestockIQ (transfer first)</t>
  </si>
  <si>
    <t xml:space="preserve">No transfers (expedite first)</t>
  </si>
  <si>
    <t xml:space="preserve">Reorder everything</t>
  </si>
  <si>
    <t xml:space="preserve">Annual saving vs. reorder everything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</si>
</sst>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;\(0.0%\);\-"/>
    <numFmt numFmtId="167" formatCode="#,##0;\(#,##0\);\-"/>
    <numFmt numFmtId="168" formatCode="0.0\x"/>
    <numFmt numFmtId="169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44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8"/>
      <color rgb="FF666666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0F9D8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2440"/>
        <bgColor rgb="FF333333"/>
      </patternFill>
    </fill>
    <fill>
      <patternFill patternType="solid">
        <fgColor rgb="FFEE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EEF4F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66666"/>
      <rgbColor rgb="FF969696"/>
      <rgbColor rgb="FF0F2440"/>
      <rgbColor rgb="FF0F9D8F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Annual fix cost by strategy ($)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'Fix Mix'!E4</c:f>
              <c:strCache>
                <c:ptCount val="1"/>
                <c:pt idx="0">
                  <c:v>Annual fix cost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'Fix Mix'!$A$5:$A$7</c:f>
              <c:strCache>
                <c:ptCount val="3"/>
                <c:pt idx="0">
                  <c:v>RestockIQ (transfer first)</c:v>
                </c:pt>
                <c:pt idx="1">
                  <c:v>No transfers (expedite first)</c:v>
                </c:pt>
                <c:pt idx="2">
                  <c:v>Reorder everything</c:v>
                </c:pt>
              </c:strCache>
            </c:strRef>
          </c:cat>
          <c:val>
            <c:numRef>
              <c:f>'Fix Mix'!$E$5:$E$7</c:f>
              <c:numCache>
                <c:formatCode>\$#,##0;"($"#,##0\);\-</c:formatCode>
                <c:ptCount val="3"/>
                <c:pt idx="0">
                  <c:v>782496</c:v>
                </c:pt>
                <c:pt idx="1">
                  <c:v>1102233.6</c:v>
                </c:pt>
                <c:pt idx="2">
                  <c:v>1497600</c:v>
                </c:pt>
              </c:numCache>
            </c:numRef>
          </c:val>
        </c:ser>
        <c:gapWidth val="150"/>
        <c:overlap val="0"/>
        <c:axId val="14565803"/>
        <c:axId val="39806176"/>
      </c:barChart>
      <c:catAx>
        <c:axId val="145658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806176"/>
        <c:crosses val="autoZero"/>
        <c:auto val="1"/>
        <c:lblAlgn val="ctr"/>
        <c:lblOffset val="100"/>
        <c:noMultiLvlLbl val="0"/>
      </c:catAx>
      <c:valAx>
        <c:axId val="398061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;&quot;($&quot;#,##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456580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131040</xdr:rowOff>
    </xdr:from>
    <xdr:to>
      <xdr:col>3</xdr:col>
      <xdr:colOff>246600</xdr:colOff>
      <xdr:row>22</xdr:row>
      <xdr:rowOff>174240</xdr:rowOff>
    </xdr:to>
    <xdr:graphicFrame>
      <xdr:nvGraphicFramePr>
        <xdr:cNvPr id="0" name="Chart 1"/>
        <xdr:cNvGraphicFramePr/>
      </xdr:nvGraphicFramePr>
      <xdr:xfrm>
        <a:off x="0" y="19051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5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</row>
    <row r="5" customFormat="false" ht="15" hidden="false" customHeight="false" outlineLevel="0" collapsed="false">
      <c r="A5" s="5" t="s">
        <v>6</v>
      </c>
      <c r="B5" s="6" t="n">
        <v>244000000</v>
      </c>
      <c r="C5" s="7" t="s">
        <v>7</v>
      </c>
      <c r="D5" s="7" t="s">
        <v>8</v>
      </c>
    </row>
    <row r="6" customFormat="false" ht="15" hidden="false" customHeight="false" outlineLevel="0" collapsed="false">
      <c r="A6" s="5" t="s">
        <v>9</v>
      </c>
      <c r="B6" s="8" t="n">
        <v>0.041</v>
      </c>
      <c r="C6" s="7" t="s">
        <v>10</v>
      </c>
      <c r="D6" s="7" t="s">
        <v>11</v>
      </c>
    </row>
    <row r="7" customFormat="false" ht="15" hidden="false" customHeight="false" outlineLevel="0" collapsed="false">
      <c r="A7" s="5" t="s">
        <v>12</v>
      </c>
      <c r="B7" s="8" t="n">
        <v>0.48</v>
      </c>
      <c r="C7" s="7" t="s">
        <v>13</v>
      </c>
      <c r="D7" s="7" t="s">
        <v>14</v>
      </c>
    </row>
    <row r="8" customFormat="false" ht="15" hidden="false" customHeight="false" outlineLevel="0" collapsed="false">
      <c r="A8" s="5" t="s">
        <v>15</v>
      </c>
      <c r="B8" s="8" t="n">
        <v>0.4</v>
      </c>
      <c r="C8" s="7" t="s">
        <v>13</v>
      </c>
      <c r="D8" s="7" t="s">
        <v>16</v>
      </c>
    </row>
    <row r="9" customFormat="false" ht="15" hidden="false" customHeight="false" outlineLevel="0" collapsed="false">
      <c r="A9" s="5" t="s">
        <v>17</v>
      </c>
      <c r="B9" s="9" t="n">
        <v>300</v>
      </c>
      <c r="C9" s="7" t="s">
        <v>18</v>
      </c>
      <c r="D9" s="7" t="s">
        <v>19</v>
      </c>
    </row>
    <row r="10" customFormat="false" ht="15" hidden="false" customHeight="false" outlineLevel="0" collapsed="false">
      <c r="A10" s="5" t="s">
        <v>20</v>
      </c>
      <c r="B10" s="8" t="n">
        <v>0.38</v>
      </c>
      <c r="C10" s="7" t="s">
        <v>13</v>
      </c>
      <c r="D10" s="7" t="s">
        <v>21</v>
      </c>
    </row>
    <row r="11" customFormat="false" ht="15" hidden="false" customHeight="false" outlineLevel="0" collapsed="false">
      <c r="A11" s="5" t="s">
        <v>22</v>
      </c>
      <c r="B11" s="8" t="n">
        <v>0.41</v>
      </c>
      <c r="C11" s="7" t="s">
        <v>13</v>
      </c>
      <c r="D11" s="7" t="s">
        <v>21</v>
      </c>
    </row>
    <row r="12" customFormat="false" ht="15" hidden="false" customHeight="false" outlineLevel="0" collapsed="false">
      <c r="A12" s="5" t="s">
        <v>23</v>
      </c>
      <c r="B12" s="8" t="n">
        <v>0.21</v>
      </c>
      <c r="C12" s="7" t="s">
        <v>13</v>
      </c>
      <c r="D12" s="7" t="s">
        <v>21</v>
      </c>
    </row>
    <row r="13" customFormat="false" ht="15" hidden="false" customHeight="false" outlineLevel="0" collapsed="false">
      <c r="A13" s="5" t="s">
        <v>24</v>
      </c>
      <c r="B13" s="6" t="n">
        <v>35</v>
      </c>
      <c r="C13" s="7" t="s">
        <v>25</v>
      </c>
      <c r="D13" s="7" t="s">
        <v>26</v>
      </c>
    </row>
    <row r="14" customFormat="false" ht="15" hidden="false" customHeight="false" outlineLevel="0" collapsed="false">
      <c r="A14" s="5" t="s">
        <v>27</v>
      </c>
      <c r="B14" s="6" t="n">
        <v>120</v>
      </c>
      <c r="C14" s="7" t="s">
        <v>25</v>
      </c>
      <c r="D14" s="7" t="s">
        <v>28</v>
      </c>
    </row>
    <row r="15" customFormat="false" ht="15" hidden="false" customHeight="false" outlineLevel="0" collapsed="false">
      <c r="A15" s="5" t="s">
        <v>29</v>
      </c>
      <c r="B15" s="6" t="n">
        <v>200</v>
      </c>
      <c r="C15" s="7" t="s">
        <v>25</v>
      </c>
      <c r="D15" s="7" t="s">
        <v>30</v>
      </c>
    </row>
    <row r="16" customFormat="false" ht="15" hidden="false" customHeight="false" outlineLevel="0" collapsed="false">
      <c r="A16" s="5" t="s">
        <v>31</v>
      </c>
      <c r="B16" s="9" t="n">
        <v>52</v>
      </c>
      <c r="C16" s="7" t="s">
        <v>32</v>
      </c>
      <c r="D16" s="7"/>
    </row>
    <row r="17" customFormat="false" ht="15" hidden="false" customHeight="false" outlineLevel="0" collapsed="false">
      <c r="A17" s="5" t="s">
        <v>33</v>
      </c>
      <c r="B17" s="6" t="n">
        <v>140000</v>
      </c>
      <c r="C17" s="7" t="s">
        <v>25</v>
      </c>
      <c r="D17" s="7" t="s">
        <v>34</v>
      </c>
    </row>
    <row r="18" customFormat="false" ht="15" hidden="false" customHeight="false" outlineLevel="0" collapsed="false">
      <c r="A18" s="5" t="s">
        <v>35</v>
      </c>
      <c r="B18" s="6" t="n">
        <v>60000</v>
      </c>
      <c r="C18" s="7" t="s">
        <v>7</v>
      </c>
      <c r="D18" s="7" t="s">
        <v>36</v>
      </c>
    </row>
    <row r="19" customFormat="false" ht="15" hidden="false" customHeight="false" outlineLevel="0" collapsed="false">
      <c r="A19" s="5" t="s">
        <v>37</v>
      </c>
      <c r="B19" s="8" t="n">
        <v>0.45</v>
      </c>
      <c r="C19" s="7" t="s">
        <v>13</v>
      </c>
      <c r="D19" s="7" t="s">
        <v>38</v>
      </c>
    </row>
    <row r="20" customFormat="false" ht="15" hidden="false" customHeight="false" outlineLevel="0" collapsed="false">
      <c r="A20" s="5" t="s">
        <v>39</v>
      </c>
      <c r="B20" s="8" t="n">
        <v>0.1</v>
      </c>
      <c r="C20" s="7" t="s">
        <v>13</v>
      </c>
      <c r="D20" s="7" t="s">
        <v>40</v>
      </c>
    </row>
    <row r="22" customFormat="false" ht="15" hidden="false" customHeight="false" outlineLevel="0" collapsed="false">
      <c r="A22" s="10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6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15" hidden="false" customHeight="false" outlineLevel="0" collapsed="false">
      <c r="A4" s="3" t="s">
        <v>44</v>
      </c>
      <c r="B4" s="4" t="s">
        <v>45</v>
      </c>
      <c r="C4" s="4" t="s">
        <v>46</v>
      </c>
      <c r="D4" s="4" t="s">
        <v>47</v>
      </c>
      <c r="E4" s="4" t="s">
        <v>48</v>
      </c>
    </row>
    <row r="5" customFormat="false" ht="15" hidden="false" customHeight="false" outlineLevel="0" collapsed="false">
      <c r="A5" s="11" t="s">
        <v>49</v>
      </c>
      <c r="C5" s="12" t="n">
        <f aca="false">Assumptions!$B$19</f>
        <v>0.45</v>
      </c>
      <c r="D5" s="12" t="n">
        <f aca="false">1</f>
        <v>1</v>
      </c>
      <c r="E5" s="12" t="n">
        <f aca="false">1</f>
        <v>1</v>
      </c>
    </row>
    <row r="6" customFormat="false" ht="15" hidden="false" customHeight="false" outlineLevel="0" collapsed="false">
      <c r="A6" s="11" t="s">
        <v>50</v>
      </c>
      <c r="C6" s="13" t="n">
        <f aca="false">Assumptions!$B$5*Assumptions!$B$6*Assumptions!$B$7*C5</f>
        <v>2160864</v>
      </c>
      <c r="D6" s="13" t="n">
        <f aca="false">Assumptions!$B$5*Assumptions!$B$6*Assumptions!$B$7*D5</f>
        <v>4801920</v>
      </c>
      <c r="E6" s="13" t="n">
        <f aca="false">Assumptions!$B$5*Assumptions!$B$6*Assumptions!$B$7*E5</f>
        <v>4801920</v>
      </c>
    </row>
    <row r="7" customFormat="false" ht="15" hidden="false" customHeight="false" outlineLevel="0" collapsed="false">
      <c r="A7" s="11" t="s">
        <v>51</v>
      </c>
      <c r="C7" s="13" t="n">
        <f aca="false">C6*Assumptions!$B$8</f>
        <v>864345.6</v>
      </c>
      <c r="D7" s="13" t="n">
        <f aca="false">D6*Assumptions!$B$8</f>
        <v>1920768</v>
      </c>
      <c r="E7" s="13" t="n">
        <f aca="false">E6*Assumptions!$B$8</f>
        <v>1920768</v>
      </c>
    </row>
    <row r="8" customFormat="false" ht="15" hidden="false" customHeight="false" outlineLevel="0" collapsed="false">
      <c r="A8" s="11" t="s">
        <v>52</v>
      </c>
      <c r="C8" s="14" t="n">
        <f aca="false">Assumptions!$B$9*Assumptions!$B$7*Assumptions!$B$16*C5</f>
        <v>3369.6</v>
      </c>
      <c r="D8" s="14" t="n">
        <f aca="false">Assumptions!$B$9*Assumptions!$B$7*Assumptions!$B$16*D5</f>
        <v>7488</v>
      </c>
      <c r="E8" s="14" t="n">
        <f aca="false">Assumptions!$B$9*Assumptions!$B$7*Assumptions!$B$16*E5</f>
        <v>7488</v>
      </c>
    </row>
    <row r="9" customFormat="false" ht="15" hidden="false" customHeight="false" outlineLevel="0" collapsed="false">
      <c r="A9" s="11" t="s">
        <v>53</v>
      </c>
      <c r="C9" s="13" t="n">
        <f aca="false">Assumptions!$B$10*Assumptions!$B$13+Assumptions!$B$11*Assumptions!$B$14+Assumptions!$B$12*Assumptions!$B$15</f>
        <v>104.5</v>
      </c>
      <c r="D9" s="13" t="n">
        <f aca="false">Assumptions!$B$10*Assumptions!$B$13+Assumptions!$B$11*Assumptions!$B$14+Assumptions!$B$12*Assumptions!$B$15</f>
        <v>104.5</v>
      </c>
      <c r="E9" s="13" t="n">
        <f aca="false">Assumptions!$B$10*Assumptions!$B$13+Assumptions!$B$11*Assumptions!$B$14+Assumptions!$B$12*Assumptions!$B$15</f>
        <v>104.5</v>
      </c>
    </row>
    <row r="10" customFormat="false" ht="15" hidden="false" customHeight="false" outlineLevel="0" collapsed="false">
      <c r="A10" s="11" t="s">
        <v>54</v>
      </c>
      <c r="C10" s="13" t="n">
        <f aca="false">-C8*C9</f>
        <v>-352123.2</v>
      </c>
      <c r="D10" s="13" t="n">
        <f aca="false">-D8*D9</f>
        <v>-782496</v>
      </c>
      <c r="E10" s="13" t="n">
        <f aca="false">-E8*E9</f>
        <v>-782496</v>
      </c>
    </row>
    <row r="11" customFormat="false" ht="15" hidden="false" customHeight="false" outlineLevel="0" collapsed="false">
      <c r="A11" s="15" t="s">
        <v>55</v>
      </c>
      <c r="B11" s="13" t="n">
        <f aca="false">0</f>
        <v>0</v>
      </c>
      <c r="C11" s="16" t="n">
        <f aca="false">C7+C10</f>
        <v>512222.4</v>
      </c>
      <c r="D11" s="16" t="n">
        <f aca="false">D7+D10</f>
        <v>1138272</v>
      </c>
      <c r="E11" s="16" t="n">
        <f aca="false">E7+E10</f>
        <v>1138272</v>
      </c>
    </row>
    <row r="13" customFormat="false" ht="15" hidden="false" customHeight="false" outlineLevel="0" collapsed="false">
      <c r="A13" s="11" t="s">
        <v>56</v>
      </c>
      <c r="B13" s="17" t="n">
        <f aca="false">-Assumptions!$B$17</f>
        <v>-140000</v>
      </c>
      <c r="C13" s="13" t="n">
        <f aca="false">0</f>
        <v>0</v>
      </c>
      <c r="D13" s="13" t="n">
        <f aca="false">0</f>
        <v>0</v>
      </c>
      <c r="E13" s="13" t="n">
        <f aca="false">0</f>
        <v>0</v>
      </c>
    </row>
    <row r="14" customFormat="false" ht="15" hidden="false" customHeight="false" outlineLevel="0" collapsed="false">
      <c r="A14" s="11" t="s">
        <v>57</v>
      </c>
      <c r="B14" s="13" t="n">
        <f aca="false">0</f>
        <v>0</v>
      </c>
      <c r="C14" s="17" t="n">
        <f aca="false">-Assumptions!$B$18</f>
        <v>-60000</v>
      </c>
      <c r="D14" s="17" t="n">
        <f aca="false">-Assumptions!$B$18</f>
        <v>-60000</v>
      </c>
      <c r="E14" s="17" t="n">
        <f aca="false">-Assumptions!$B$18</f>
        <v>-60000</v>
      </c>
    </row>
    <row r="15" customFormat="false" ht="15" hidden="false" customHeight="false" outlineLevel="0" collapsed="false">
      <c r="A15" s="15" t="s">
        <v>58</v>
      </c>
      <c r="B15" s="16" t="n">
        <f aca="false">B13+B14</f>
        <v>-140000</v>
      </c>
      <c r="C15" s="16" t="n">
        <f aca="false">C13+C14</f>
        <v>-60000</v>
      </c>
      <c r="D15" s="16" t="n">
        <f aca="false">D13+D14</f>
        <v>-60000</v>
      </c>
      <c r="E15" s="16" t="n">
        <f aca="false">E13+E14</f>
        <v>-60000</v>
      </c>
    </row>
    <row r="17" customFormat="false" ht="15" hidden="false" customHeight="false" outlineLevel="0" collapsed="false">
      <c r="A17" s="15" t="s">
        <v>59</v>
      </c>
      <c r="B17" s="18" t="n">
        <f aca="false">B11+B15</f>
        <v>-140000</v>
      </c>
      <c r="C17" s="18" t="n">
        <f aca="false">C11+C15</f>
        <v>452222.4</v>
      </c>
      <c r="D17" s="18" t="n">
        <f aca="false">D11+D15</f>
        <v>1078272</v>
      </c>
      <c r="E17" s="18" t="n">
        <f aca="false">E11+E15</f>
        <v>1078272</v>
      </c>
    </row>
    <row r="18" customFormat="false" ht="15" hidden="false" customHeight="false" outlineLevel="0" collapsed="false">
      <c r="A18" s="11" t="s">
        <v>60</v>
      </c>
      <c r="B18" s="13" t="n">
        <f aca="false">B17</f>
        <v>-140000</v>
      </c>
      <c r="C18" s="13" t="n">
        <f aca="false">B18+C17</f>
        <v>312222.4</v>
      </c>
      <c r="D18" s="13" t="n">
        <f aca="false">C18+D17</f>
        <v>1390494.4</v>
      </c>
      <c r="E18" s="13" t="n">
        <f aca="false">D18+E17</f>
        <v>2468766.4</v>
      </c>
    </row>
    <row r="20" customFormat="false" ht="15" hidden="false" customHeight="false" outlineLevel="0" collapsed="false">
      <c r="A20" s="19" t="s">
        <v>61</v>
      </c>
    </row>
    <row r="21" customFormat="false" ht="15" hidden="false" customHeight="false" outlineLevel="0" collapsed="false">
      <c r="A21" s="11" t="s">
        <v>62</v>
      </c>
      <c r="B21" s="16" t="n">
        <f aca="false">B17+NPV(Assumptions!$B$20,C17:E17)</f>
        <v>1972366.87002254</v>
      </c>
    </row>
    <row r="22" customFormat="false" ht="15" hidden="false" customHeight="false" outlineLevel="0" collapsed="false">
      <c r="A22" s="11" t="s">
        <v>63</v>
      </c>
      <c r="B22" s="16" t="n">
        <f aca="false">D6/4</f>
        <v>1200480</v>
      </c>
    </row>
    <row r="23" customFormat="false" ht="15" hidden="false" customHeight="false" outlineLevel="0" collapsed="false">
      <c r="A23" s="11" t="s">
        <v>64</v>
      </c>
      <c r="B23" s="20" t="n">
        <f aca="false">SUM(C11:E11)/-SUM(B15:E15)</f>
        <v>8.714895</v>
      </c>
    </row>
    <row r="24" customFormat="false" ht="15" hidden="false" customHeight="false" outlineLevel="0" collapsed="false">
      <c r="A24" s="11" t="s">
        <v>65</v>
      </c>
      <c r="B24" s="21" t="n">
        <f aca="false">IF(C17&gt;=-B17,-B17/(C11+C14)*12,12+(-(B17+C17))/(D11+D14)*12)</f>
        <v>3.71498625455086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6"/>
    <col collapsed="false" customWidth="true" hidden="false" outlineLevel="0" max="4" min="2" style="0" width="16"/>
    <col collapsed="false" customWidth="true" hidden="false" outlineLevel="0" max="5" min="5" style="0" width="18"/>
  </cols>
  <sheetData>
    <row r="1" customFormat="false" ht="19.7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15" hidden="false" customHeight="false" outlineLevel="0" collapsed="false">
      <c r="A4" s="3" t="s">
        <v>68</v>
      </c>
      <c r="B4" s="4" t="s">
        <v>69</v>
      </c>
      <c r="C4" s="4" t="s">
        <v>70</v>
      </c>
      <c r="D4" s="4" t="s">
        <v>71</v>
      </c>
      <c r="E4" s="4" t="s">
        <v>72</v>
      </c>
    </row>
    <row r="5" customFormat="false" ht="15" hidden="false" customHeight="false" outlineLevel="0" collapsed="false">
      <c r="A5" s="15" t="s">
        <v>73</v>
      </c>
      <c r="B5" s="12" t="n">
        <f aca="false">Assumptions!$B$10</f>
        <v>0.38</v>
      </c>
      <c r="C5" s="12" t="n">
        <f aca="false">Assumptions!$B$11</f>
        <v>0.41</v>
      </c>
      <c r="D5" s="12" t="n">
        <f aca="false">Assumptions!$B$12</f>
        <v>0.21</v>
      </c>
      <c r="E5" s="16" t="n">
        <f aca="false">Model!$D$8*(B5*Assumptions!$B$13+C5*Assumptions!$B$14+D5*Assumptions!$B$15)</f>
        <v>782496</v>
      </c>
    </row>
    <row r="6" customFormat="false" ht="15" hidden="false" customHeight="false" outlineLevel="0" collapsed="false">
      <c r="A6" s="11" t="s">
        <v>74</v>
      </c>
      <c r="B6" s="22" t="n">
        <v>0</v>
      </c>
      <c r="C6" s="22" t="n">
        <v>0.66</v>
      </c>
      <c r="D6" s="22" t="n">
        <v>0.34</v>
      </c>
      <c r="E6" s="13" t="n">
        <f aca="false">Model!$D$8*(B6*Assumptions!$B$13+C6*Assumptions!$B$14+D6*Assumptions!$B$15)</f>
        <v>1102233.6</v>
      </c>
    </row>
    <row r="7" customFormat="false" ht="15" hidden="false" customHeight="false" outlineLevel="0" collapsed="false">
      <c r="A7" s="11" t="s">
        <v>75</v>
      </c>
      <c r="B7" s="22" t="n">
        <v>0</v>
      </c>
      <c r="C7" s="22" t="n">
        <v>0</v>
      </c>
      <c r="D7" s="22" t="n">
        <v>1</v>
      </c>
      <c r="E7" s="13" t="n">
        <f aca="false">Model!$D$8*(B7*Assumptions!$B$13+C7*Assumptions!$B$14+D7*Assumptions!$B$15)</f>
        <v>1497600</v>
      </c>
    </row>
    <row r="9" customFormat="false" ht="15" hidden="false" customHeight="false" outlineLevel="0" collapsed="false">
      <c r="A9" s="11" t="s">
        <v>76</v>
      </c>
      <c r="E9" s="18" t="n">
        <f aca="false">E7-E5</f>
        <v>715104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LibreOffice/25.2.5.2$Linux_X86_64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2026-11-06T01:43:04Z</dcterms:created>
  <dc:creator>openpyxl</dc:creator>
  <dc:description/>
  <dc:language>en-US</dc:language>
  <cp:lastModifiedBy/>
  <dcterms:modified xsi:type="dcterms:W3CDTF">2026-11-06T01:43:11Z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