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umptions" sheetId="1" state="visible" r:id="rId3"/>
    <sheet name="Launch P&amp;L" sheetId="2" state="visible" r:id="rId4"/>
    <sheet name="Drugstore Dea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<sst xmlns="http://schemas.openxmlformats.org/spreadsheetml/2006/main" count="91" uniqueCount="83">
  <si>
    <t xml:space="preserve">Dew Daily · Business Case + Deal Model</t>
  </si>
  <si>
    <t xml:space="preserve">Jahnvi Raichura · Portfolio case study · Illustrative sample data</t>
  </si>
  <si>
    <t xml:space="preserve">Assumption</t>
  </si>
  <si>
    <t xml:space="preserve">Value</t>
  </si>
  <si>
    <t xml:space="preserve">Unit</t>
  </si>
  <si>
    <t xml:space="preserve">Source / note</t>
  </si>
  <si>
    <t xml:space="preserve">Online product cost (% of revenue)</t>
  </si>
  <si>
    <t xml:space="preserve">%</t>
  </si>
  <si>
    <t xml:space="preserve">Formulation + packaging</t>
  </si>
  <si>
    <t xml:space="preserve">Online fulfilment (% of revenue)</t>
  </si>
  <si>
    <t xml:space="preserve">Pick, pack, ship</t>
  </si>
  <si>
    <t xml:space="preserve">Launch marketing, 12 weeks</t>
  </si>
  <si>
    <t xml:space="preserve">$</t>
  </si>
  <si>
    <t xml:space="preserve">Creators, paid social, sampling</t>
  </si>
  <si>
    <t xml:space="preserve">12-week revenue plan</t>
  </si>
  <si>
    <t xml:space="preserve">Approved launch plan</t>
  </si>
  <si>
    <t xml:space="preserve">— Drugstore deal —</t>
  </si>
  <si>
    <t xml:space="preserve">Partner stores</t>
  </si>
  <si>
    <t xml:space="preserve">stores</t>
  </si>
  <si>
    <t xml:space="preserve">Signed launch partnership</t>
  </si>
  <si>
    <t xml:space="preserve">Units sold per store per week</t>
  </si>
  <si>
    <t xml:space="preserve">units</t>
  </si>
  <si>
    <t xml:space="preserve">Category benchmark (sample)</t>
  </si>
  <si>
    <t xml:space="preserve">Average retail price per unit</t>
  </si>
  <si>
    <t xml:space="preserve">Mix of singles and $39 starter kit</t>
  </si>
  <si>
    <t xml:space="preserve">Retailer margin</t>
  </si>
  <si>
    <t xml:space="preserve">% of retail</t>
  </si>
  <si>
    <t xml:space="preserve">Negotiated; push for 40% or less</t>
  </si>
  <si>
    <t xml:space="preserve">Product cost (% of retail)</t>
  </si>
  <si>
    <t xml:space="preserve">Launch marketing we fund</t>
  </si>
  <si>
    <t xml:space="preserve">Shared campaign</t>
  </si>
  <si>
    <t xml:space="preserve">Display cost per store</t>
  </si>
  <si>
    <t xml:space="preserve">$/store</t>
  </si>
  <si>
    <t xml:space="preserve">End-cap for launch month</t>
  </si>
  <si>
    <t xml:space="preserve">Weeks per year</t>
  </si>
  <si>
    <t xml:space="preserve">weeks</t>
  </si>
  <si>
    <t xml:space="preserve">Colour key: blue = input you can change · black = formula · green = linked from Assumptions sheet</t>
  </si>
  <si>
    <t xml:space="preserve">Dew Daily · First 12 Weeks</t>
  </si>
  <si>
    <t xml:space="preserve">Weekly revenue is sample data (blue); all totals and margins are formulas</t>
  </si>
  <si>
    <t xml:space="preserve">($)</t>
  </si>
  <si>
    <t xml:space="preserve">W1</t>
  </si>
  <si>
    <t xml:space="preserve">W2</t>
  </si>
  <si>
    <t xml:space="preserve">W3</t>
  </si>
  <si>
    <t xml:space="preserve">W4</t>
  </si>
  <si>
    <t xml:space="preserve">W5</t>
  </si>
  <si>
    <t xml:space="preserve">W6</t>
  </si>
  <si>
    <t xml:space="preserve">W7</t>
  </si>
  <si>
    <t xml:space="preserve">W8</t>
  </si>
  <si>
    <t xml:space="preserve">W9</t>
  </si>
  <si>
    <t xml:space="preserve">W10</t>
  </si>
  <si>
    <t xml:space="preserve">W11</t>
  </si>
  <si>
    <t xml:space="preserve">W12</t>
  </si>
  <si>
    <t xml:space="preserve">Total</t>
  </si>
  <si>
    <t xml:space="preserve">Online revenue</t>
  </si>
  <si>
    <t xml:space="preserve">Drugstore revenue (our share)</t>
  </si>
  <si>
    <t xml:space="preserve">Total revenue</t>
  </si>
  <si>
    <t xml:space="preserve">Plan</t>
  </si>
  <si>
    <t xml:space="preserve">Variance vs. plan</t>
  </si>
  <si>
    <t xml:space="preserve">Online product cost</t>
  </si>
  <si>
    <t xml:space="preserve">Online fulfilment</t>
  </si>
  <si>
    <t xml:space="preserve">Drugstore product cost</t>
  </si>
  <si>
    <t xml:space="preserve">Gross profit</t>
  </si>
  <si>
    <t xml:space="preserve">Gross margin %</t>
  </si>
  <si>
    <t xml:space="preserve">Launch marketing</t>
  </si>
  <si>
    <t xml:space="preserve">Contribution</t>
  </si>
  <si>
    <t xml:space="preserve">Cumulative contribution</t>
  </si>
  <si>
    <t xml:space="preserve">Revenue vs. plan</t>
  </si>
  <si>
    <t xml:space="preserve">Drugstore share of revenue</t>
  </si>
  <si>
    <t xml:space="preserve">Dew Daily · Drugstore Deal Model</t>
  </si>
  <si>
    <t xml:space="preserve">Change the blue deal terms on the Assumptions sheet (rows 10–17)</t>
  </si>
  <si>
    <t xml:space="preserve">Year 1 economics</t>
  </si>
  <si>
    <t xml:space="preserve">Annual units</t>
  </si>
  <si>
    <t xml:space="preserve">Retail sales</t>
  </si>
  <si>
    <t xml:space="preserve">Our revenue</t>
  </si>
  <si>
    <t xml:space="preserve">Product cost</t>
  </si>
  <si>
    <t xml:space="preserve">Our gross profit</t>
  </si>
  <si>
    <t xml:space="preserve">Store displays</t>
  </si>
  <si>
    <t xml:space="preserve">Profit after launch costs</t>
  </si>
  <si>
    <t xml:space="preserve">Payback on launch costs (weeks)</t>
  </si>
  <si>
    <t xml:space="preserve">Our share of each retail dollar</t>
  </si>
  <si>
    <t xml:space="preserve">Negotiation table: profit after launch costs ($) by retailer margin and units/store/week</t>
  </si>
  <si>
    <t xml:space="preserve">Units/store/week ↓ · Retailer margin →</t>
  </si>
  <si>
    <t xml:space="preserve">Highlighted cell = signed terms. Losses appear in brackets, so the walk-away point is easy to see.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</si>
</sst>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;\(0.0%\);\-"/>
    <numFmt numFmtId="166" formatCode="\$#,##0;&quot;($&quot;#,##0\);\-"/>
    <numFmt numFmtId="167" formatCode="#,##0;\(#,##0\);\-"/>
    <numFmt numFmtId="168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2E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2E"/>
        <bgColor rgb="FF333300"/>
      </patternFill>
    </fill>
    <fill>
      <patternFill patternType="solid">
        <fgColor rgb="FFF1F5EF"/>
        <bgColor rgb="FFFFFFFF"/>
      </patternFill>
    </fill>
    <fill>
      <patternFill patternType="solid">
        <fgColor rgb="FFDDE9D6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BE4B48"/>
      <rgbColor rgb="FFF1F5EF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9D6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Weekly revenue vs. plan ($)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'Launch P&amp;L'!A7</c:f>
              <c:strCache>
                <c:ptCount val="1"/>
                <c:pt idx="0">
                  <c:v>Total revenue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'Launch P&amp;L'!$B$4:$M$4</c:f>
              <c:strCache>
                <c:ptCount val="12"/>
                <c:pt idx="0">
                  <c:v>W1</c:v>
                </c:pt>
                <c:pt idx="1">
                  <c:v>W2</c:v>
                </c:pt>
                <c:pt idx="2">
                  <c:v>W3</c:v>
                </c:pt>
                <c:pt idx="3">
                  <c:v>W4</c:v>
                </c:pt>
                <c:pt idx="4">
                  <c:v>W5</c:v>
                </c:pt>
                <c:pt idx="5">
                  <c:v>W6</c:v>
                </c:pt>
                <c:pt idx="6">
                  <c:v>W7</c:v>
                </c:pt>
                <c:pt idx="7">
                  <c:v>W8</c:v>
                </c:pt>
                <c:pt idx="8">
                  <c:v>W9</c:v>
                </c:pt>
                <c:pt idx="9">
                  <c:v>W10</c:v>
                </c:pt>
                <c:pt idx="10">
                  <c:v>W11</c:v>
                </c:pt>
                <c:pt idx="11">
                  <c:v>W12</c:v>
                </c:pt>
              </c:strCache>
            </c:strRef>
          </c:cat>
          <c:val>
            <c:numRef>
              <c:f>'Launch P&amp;L'!$B$7:$M$7</c:f>
              <c:numCache>
                <c:formatCode>\$#,##0;"($"#,##0\);\-</c:formatCode>
                <c:ptCount val="12"/>
                <c:pt idx="0">
                  <c:v>118000</c:v>
                </c:pt>
                <c:pt idx="1">
                  <c:v>112000</c:v>
                </c:pt>
                <c:pt idx="2">
                  <c:v>106000</c:v>
                </c:pt>
                <c:pt idx="3">
                  <c:v>108000</c:v>
                </c:pt>
                <c:pt idx="4">
                  <c:v>134000</c:v>
                </c:pt>
                <c:pt idx="5">
                  <c:v>160000</c:v>
                </c:pt>
                <c:pt idx="6">
                  <c:v>184000</c:v>
                </c:pt>
                <c:pt idx="7">
                  <c:v>188000</c:v>
                </c:pt>
                <c:pt idx="8">
                  <c:v>192000</c:v>
                </c:pt>
                <c:pt idx="9">
                  <c:v>198000</c:v>
                </c:pt>
                <c:pt idx="10">
                  <c:v>202000</c:v>
                </c:pt>
                <c:pt idx="11">
                  <c:v>208000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'Launch P&amp;L'!A8</c:f>
              <c:strCache>
                <c:ptCount val="1"/>
                <c:pt idx="0">
                  <c:v>Plan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'Launch P&amp;L'!$B$4:$M$4</c:f>
              <c:strCache>
                <c:ptCount val="12"/>
                <c:pt idx="0">
                  <c:v>W1</c:v>
                </c:pt>
                <c:pt idx="1">
                  <c:v>W2</c:v>
                </c:pt>
                <c:pt idx="2">
                  <c:v>W3</c:v>
                </c:pt>
                <c:pt idx="3">
                  <c:v>W4</c:v>
                </c:pt>
                <c:pt idx="4">
                  <c:v>W5</c:v>
                </c:pt>
                <c:pt idx="5">
                  <c:v>W6</c:v>
                </c:pt>
                <c:pt idx="6">
                  <c:v>W7</c:v>
                </c:pt>
                <c:pt idx="7">
                  <c:v>W8</c:v>
                </c:pt>
                <c:pt idx="8">
                  <c:v>W9</c:v>
                </c:pt>
                <c:pt idx="9">
                  <c:v>W10</c:v>
                </c:pt>
                <c:pt idx="10">
                  <c:v>W11</c:v>
                </c:pt>
                <c:pt idx="11">
                  <c:v>W12</c:v>
                </c:pt>
              </c:strCache>
            </c:strRef>
          </c:cat>
          <c:val>
            <c:numRef>
              <c:f>'Launch P&amp;L'!$B$8:$M$8</c:f>
              <c:numCache>
                <c:formatCode>\$#,##0;"($"#,##0\);\-</c:formatCode>
                <c:ptCount val="12"/>
                <c:pt idx="0">
                  <c:v>78000</c:v>
                </c:pt>
                <c:pt idx="1">
                  <c:v>78000</c:v>
                </c:pt>
                <c:pt idx="2">
                  <c:v>78000</c:v>
                </c:pt>
                <c:pt idx="3">
                  <c:v>78000</c:v>
                </c:pt>
                <c:pt idx="4">
                  <c:v>135000</c:v>
                </c:pt>
                <c:pt idx="5">
                  <c:v>135000</c:v>
                </c:pt>
                <c:pt idx="6">
                  <c:v>160000</c:v>
                </c:pt>
                <c:pt idx="7">
                  <c:v>160000</c:v>
                </c:pt>
                <c:pt idx="8">
                  <c:v>174000</c:v>
                </c:pt>
                <c:pt idx="9">
                  <c:v>174000</c:v>
                </c:pt>
                <c:pt idx="10">
                  <c:v>174000</c:v>
                </c:pt>
                <c:pt idx="11">
                  <c:v>176000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3886941"/>
        <c:axId val="80780894"/>
      </c:lineChart>
      <c:catAx>
        <c:axId val="838869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0780894"/>
        <c:crosses val="autoZero"/>
        <c:auto val="1"/>
        <c:lblAlgn val="ctr"/>
        <c:lblOffset val="100"/>
        <c:noMultiLvlLbl val="0"/>
      </c:catAx>
      <c:valAx>
        <c:axId val="8078089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388694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130680</xdr:rowOff>
    </xdr:from>
    <xdr:to>
      <xdr:col>6</xdr:col>
      <xdr:colOff>488520</xdr:colOff>
      <xdr:row>37</xdr:row>
      <xdr:rowOff>163440</xdr:rowOff>
    </xdr:to>
    <xdr:graphicFrame>
      <xdr:nvGraphicFramePr>
        <xdr:cNvPr id="0" name="Chart 1"/>
        <xdr:cNvGraphicFramePr/>
      </xdr:nvGraphicFramePr>
      <xdr:xfrm>
        <a:off x="0" y="4572000"/>
        <a:ext cx="64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5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</row>
    <row r="5" customFormat="false" ht="15" hidden="false" customHeight="false" outlineLevel="0" collapsed="false">
      <c r="A5" s="5" t="s">
        <v>6</v>
      </c>
      <c r="B5" s="6" t="n">
        <v>0.2</v>
      </c>
      <c r="C5" s="7" t="s">
        <v>7</v>
      </c>
      <c r="D5" s="7" t="s">
        <v>8</v>
      </c>
    </row>
    <row r="6" customFormat="false" ht="15" hidden="false" customHeight="false" outlineLevel="0" collapsed="false">
      <c r="A6" s="5" t="s">
        <v>9</v>
      </c>
      <c r="B6" s="6" t="n">
        <v>0.08</v>
      </c>
      <c r="C6" s="7" t="s">
        <v>7</v>
      </c>
      <c r="D6" s="7" t="s">
        <v>10</v>
      </c>
    </row>
    <row r="7" customFormat="false" ht="15" hidden="false" customHeight="false" outlineLevel="0" collapsed="false">
      <c r="A7" s="5" t="s">
        <v>11</v>
      </c>
      <c r="B7" s="8" t="n">
        <v>250000</v>
      </c>
      <c r="C7" s="7" t="s">
        <v>12</v>
      </c>
      <c r="D7" s="7" t="s">
        <v>13</v>
      </c>
    </row>
    <row r="8" customFormat="false" ht="15" hidden="false" customHeight="false" outlineLevel="0" collapsed="false">
      <c r="A8" s="5" t="s">
        <v>14</v>
      </c>
      <c r="B8" s="8" t="n">
        <v>1600000</v>
      </c>
      <c r="C8" s="7" t="s">
        <v>12</v>
      </c>
      <c r="D8" s="7" t="s">
        <v>15</v>
      </c>
    </row>
    <row r="9" customFormat="false" ht="15" hidden="false" customHeight="false" outlineLevel="0" collapsed="false">
      <c r="A9" s="9" t="s">
        <v>16</v>
      </c>
      <c r="B9" s="10"/>
      <c r="C9" s="7"/>
      <c r="D9" s="7"/>
    </row>
    <row r="10" customFormat="false" ht="15" hidden="false" customHeight="false" outlineLevel="0" collapsed="false">
      <c r="A10" s="5" t="s">
        <v>17</v>
      </c>
      <c r="B10" s="11" t="n">
        <v>120</v>
      </c>
      <c r="C10" s="7" t="s">
        <v>18</v>
      </c>
      <c r="D10" s="7" t="s">
        <v>19</v>
      </c>
    </row>
    <row r="11" customFormat="false" ht="15" hidden="false" customHeight="false" outlineLevel="0" collapsed="false">
      <c r="A11" s="5" t="s">
        <v>20</v>
      </c>
      <c r="B11" s="11" t="n">
        <v>12</v>
      </c>
      <c r="C11" s="7" t="s">
        <v>21</v>
      </c>
      <c r="D11" s="7" t="s">
        <v>22</v>
      </c>
    </row>
    <row r="12" customFormat="false" ht="15" hidden="false" customHeight="false" outlineLevel="0" collapsed="false">
      <c r="A12" s="5" t="s">
        <v>23</v>
      </c>
      <c r="B12" s="8" t="n">
        <v>26</v>
      </c>
      <c r="C12" s="7" t="s">
        <v>12</v>
      </c>
      <c r="D12" s="7" t="s">
        <v>24</v>
      </c>
    </row>
    <row r="13" customFormat="false" ht="15" hidden="false" customHeight="false" outlineLevel="0" collapsed="false">
      <c r="A13" s="5" t="s">
        <v>25</v>
      </c>
      <c r="B13" s="6" t="n">
        <v>0.4</v>
      </c>
      <c r="C13" s="7" t="s">
        <v>26</v>
      </c>
      <c r="D13" s="7" t="s">
        <v>27</v>
      </c>
    </row>
    <row r="14" customFormat="false" ht="15" hidden="false" customHeight="false" outlineLevel="0" collapsed="false">
      <c r="A14" s="5" t="s">
        <v>28</v>
      </c>
      <c r="B14" s="6" t="n">
        <v>0.2</v>
      </c>
      <c r="C14" s="7" t="s">
        <v>26</v>
      </c>
      <c r="D14" s="7"/>
    </row>
    <row r="15" customFormat="false" ht="15" hidden="false" customHeight="false" outlineLevel="0" collapsed="false">
      <c r="A15" s="5" t="s">
        <v>29</v>
      </c>
      <c r="B15" s="8" t="n">
        <v>60000</v>
      </c>
      <c r="C15" s="7" t="s">
        <v>12</v>
      </c>
      <c r="D15" s="7" t="s">
        <v>30</v>
      </c>
    </row>
    <row r="16" customFormat="false" ht="15" hidden="false" customHeight="false" outlineLevel="0" collapsed="false">
      <c r="A16" s="5" t="s">
        <v>31</v>
      </c>
      <c r="B16" s="8" t="n">
        <v>350</v>
      </c>
      <c r="C16" s="7" t="s">
        <v>32</v>
      </c>
      <c r="D16" s="7" t="s">
        <v>33</v>
      </c>
    </row>
    <row r="17" customFormat="false" ht="15" hidden="false" customHeight="false" outlineLevel="0" collapsed="false">
      <c r="A17" s="5" t="s">
        <v>34</v>
      </c>
      <c r="B17" s="11" t="n">
        <v>52</v>
      </c>
      <c r="C17" s="7" t="s">
        <v>35</v>
      </c>
      <c r="D17" s="7"/>
    </row>
    <row r="19" customFormat="false" ht="15" hidden="false" customHeight="false" outlineLevel="0" collapsed="false">
      <c r="A19" s="12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15" min="2" style="0" width="11"/>
  </cols>
  <sheetData>
    <row r="1" customFormat="false" ht="19.7" hidden="false" customHeight="false" outlineLevel="0" collapsed="false">
      <c r="A1" s="1" t="s">
        <v>37</v>
      </c>
    </row>
    <row r="2" customFormat="false" ht="15" hidden="false" customHeight="false" outlineLevel="0" collapsed="false">
      <c r="A2" s="2" t="s">
        <v>38</v>
      </c>
    </row>
    <row r="4" customFormat="false" ht="15" hidden="false" customHeight="false" outlineLevel="0" collapsed="false">
      <c r="A4" s="3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</row>
    <row r="5" customFormat="false" ht="15" hidden="false" customHeight="false" outlineLevel="0" collapsed="false">
      <c r="A5" s="13" t="s">
        <v>53</v>
      </c>
      <c r="B5" s="14" t="n">
        <v>118000</v>
      </c>
      <c r="C5" s="14" t="n">
        <v>112000</v>
      </c>
      <c r="D5" s="14" t="n">
        <v>106000</v>
      </c>
      <c r="E5" s="14" t="n">
        <v>108000</v>
      </c>
      <c r="F5" s="14" t="n">
        <v>112000</v>
      </c>
      <c r="G5" s="14" t="n">
        <v>116000</v>
      </c>
      <c r="H5" s="14" t="n">
        <v>120000</v>
      </c>
      <c r="I5" s="14" t="n">
        <v>122000</v>
      </c>
      <c r="J5" s="14" t="n">
        <v>124000</v>
      </c>
      <c r="K5" s="14" t="n">
        <v>128000</v>
      </c>
      <c r="L5" s="14" t="n">
        <v>132000</v>
      </c>
      <c r="M5" s="14" t="n">
        <v>137000</v>
      </c>
      <c r="N5" s="15" t="n">
        <f aca="false">SUM(B5:M5)</f>
        <v>1435000</v>
      </c>
    </row>
    <row r="6" customFormat="false" ht="15" hidden="false" customHeight="false" outlineLevel="0" collapsed="false">
      <c r="A6" s="13" t="s">
        <v>54</v>
      </c>
      <c r="B6" s="14" t="n">
        <v>0</v>
      </c>
      <c r="C6" s="14" t="n">
        <v>0</v>
      </c>
      <c r="D6" s="14" t="n">
        <v>0</v>
      </c>
      <c r="E6" s="14" t="n">
        <v>0</v>
      </c>
      <c r="F6" s="14" t="n">
        <v>22000</v>
      </c>
      <c r="G6" s="14" t="n">
        <v>44000</v>
      </c>
      <c r="H6" s="14" t="n">
        <v>64000</v>
      </c>
      <c r="I6" s="14" t="n">
        <v>66000</v>
      </c>
      <c r="J6" s="14" t="n">
        <v>68000</v>
      </c>
      <c r="K6" s="14" t="n">
        <v>70000</v>
      </c>
      <c r="L6" s="14" t="n">
        <v>70000</v>
      </c>
      <c r="M6" s="14" t="n">
        <v>71000</v>
      </c>
      <c r="N6" s="15" t="n">
        <f aca="false">SUM(B6:M6)</f>
        <v>475000</v>
      </c>
    </row>
    <row r="7" customFormat="false" ht="15" hidden="false" customHeight="false" outlineLevel="0" collapsed="false">
      <c r="A7" s="16" t="s">
        <v>55</v>
      </c>
      <c r="B7" s="17" t="n">
        <f aca="false">B5+B6</f>
        <v>118000</v>
      </c>
      <c r="C7" s="17" t="n">
        <f aca="false">C5+C6</f>
        <v>112000</v>
      </c>
      <c r="D7" s="17" t="n">
        <f aca="false">D5+D6</f>
        <v>106000</v>
      </c>
      <c r="E7" s="17" t="n">
        <f aca="false">E5+E6</f>
        <v>108000</v>
      </c>
      <c r="F7" s="17" t="n">
        <f aca="false">F5+F6</f>
        <v>134000</v>
      </c>
      <c r="G7" s="17" t="n">
        <f aca="false">G5+G6</f>
        <v>160000</v>
      </c>
      <c r="H7" s="17" t="n">
        <f aca="false">H5+H6</f>
        <v>184000</v>
      </c>
      <c r="I7" s="17" t="n">
        <f aca="false">I5+I6</f>
        <v>188000</v>
      </c>
      <c r="J7" s="17" t="n">
        <f aca="false">J5+J6</f>
        <v>192000</v>
      </c>
      <c r="K7" s="17" t="n">
        <f aca="false">K5+K6</f>
        <v>198000</v>
      </c>
      <c r="L7" s="17" t="n">
        <f aca="false">L5+L6</f>
        <v>202000</v>
      </c>
      <c r="M7" s="17" t="n">
        <f aca="false">M5+M6</f>
        <v>208000</v>
      </c>
      <c r="N7" s="15" t="n">
        <f aca="false">SUM(B7:M7)</f>
        <v>1910000</v>
      </c>
    </row>
    <row r="8" customFormat="false" ht="15" hidden="false" customHeight="false" outlineLevel="0" collapsed="false">
      <c r="A8" s="13" t="s">
        <v>56</v>
      </c>
      <c r="B8" s="14" t="n">
        <v>78000</v>
      </c>
      <c r="C8" s="14" t="n">
        <v>78000</v>
      </c>
      <c r="D8" s="14" t="n">
        <v>78000</v>
      </c>
      <c r="E8" s="14" t="n">
        <v>78000</v>
      </c>
      <c r="F8" s="14" t="n">
        <v>135000</v>
      </c>
      <c r="G8" s="14" t="n">
        <v>135000</v>
      </c>
      <c r="H8" s="14" t="n">
        <v>160000</v>
      </c>
      <c r="I8" s="14" t="n">
        <v>160000</v>
      </c>
      <c r="J8" s="14" t="n">
        <v>174000</v>
      </c>
      <c r="K8" s="14" t="n">
        <v>174000</v>
      </c>
      <c r="L8" s="14" t="n">
        <v>174000</v>
      </c>
      <c r="M8" s="14" t="n">
        <v>176000</v>
      </c>
      <c r="N8" s="15" t="n">
        <f aca="false">SUM(B8:M8)</f>
        <v>1600000</v>
      </c>
    </row>
    <row r="9" customFormat="false" ht="15" hidden="false" customHeight="false" outlineLevel="0" collapsed="false">
      <c r="A9" s="13" t="s">
        <v>57</v>
      </c>
      <c r="B9" s="18" t="n">
        <f aca="false">B7-B8</f>
        <v>40000</v>
      </c>
      <c r="C9" s="18" t="n">
        <f aca="false">C7-C8</f>
        <v>34000</v>
      </c>
      <c r="D9" s="18" t="n">
        <f aca="false">D7-D8</f>
        <v>28000</v>
      </c>
      <c r="E9" s="18" t="n">
        <f aca="false">E7-E8</f>
        <v>30000</v>
      </c>
      <c r="F9" s="18" t="n">
        <f aca="false">F7-F8</f>
        <v>-1000</v>
      </c>
      <c r="G9" s="18" t="n">
        <f aca="false">G7-G8</f>
        <v>25000</v>
      </c>
      <c r="H9" s="18" t="n">
        <f aca="false">H7-H8</f>
        <v>24000</v>
      </c>
      <c r="I9" s="18" t="n">
        <f aca="false">I7-I8</f>
        <v>28000</v>
      </c>
      <c r="J9" s="18" t="n">
        <f aca="false">J7-J8</f>
        <v>18000</v>
      </c>
      <c r="K9" s="18" t="n">
        <f aca="false">K7-K8</f>
        <v>24000</v>
      </c>
      <c r="L9" s="18" t="n">
        <f aca="false">L7-L8</f>
        <v>28000</v>
      </c>
      <c r="M9" s="18" t="n">
        <f aca="false">M7-M8</f>
        <v>32000</v>
      </c>
      <c r="N9" s="15" t="n">
        <f aca="false">SUM(B9:M9)</f>
        <v>310000</v>
      </c>
    </row>
    <row r="11" customFormat="false" ht="15" hidden="false" customHeight="false" outlineLevel="0" collapsed="false">
      <c r="A11" s="13" t="s">
        <v>58</v>
      </c>
      <c r="B11" s="18" t="n">
        <f aca="false">-B5*Assumptions!$B$5</f>
        <v>-23600</v>
      </c>
      <c r="C11" s="18" t="n">
        <f aca="false">-C5*Assumptions!$B$5</f>
        <v>-22400</v>
      </c>
      <c r="D11" s="18" t="n">
        <f aca="false">-D5*Assumptions!$B$5</f>
        <v>-21200</v>
      </c>
      <c r="E11" s="18" t="n">
        <f aca="false">-E5*Assumptions!$B$5</f>
        <v>-21600</v>
      </c>
      <c r="F11" s="18" t="n">
        <f aca="false">-F5*Assumptions!$B$5</f>
        <v>-22400</v>
      </c>
      <c r="G11" s="18" t="n">
        <f aca="false">-G5*Assumptions!$B$5</f>
        <v>-23200</v>
      </c>
      <c r="H11" s="18" t="n">
        <f aca="false">-H5*Assumptions!$B$5</f>
        <v>-24000</v>
      </c>
      <c r="I11" s="18" t="n">
        <f aca="false">-I5*Assumptions!$B$5</f>
        <v>-24400</v>
      </c>
      <c r="J11" s="18" t="n">
        <f aca="false">-J5*Assumptions!$B$5</f>
        <v>-24800</v>
      </c>
      <c r="K11" s="18" t="n">
        <f aca="false">-K5*Assumptions!$B$5</f>
        <v>-25600</v>
      </c>
      <c r="L11" s="18" t="n">
        <f aca="false">-L5*Assumptions!$B$5</f>
        <v>-26400</v>
      </c>
      <c r="M11" s="18" t="n">
        <f aca="false">-M5*Assumptions!$B$5</f>
        <v>-27400</v>
      </c>
      <c r="N11" s="15" t="n">
        <f aca="false">SUM(B11:M11)</f>
        <v>-287000</v>
      </c>
    </row>
    <row r="12" customFormat="false" ht="15" hidden="false" customHeight="false" outlineLevel="0" collapsed="false">
      <c r="A12" s="13" t="s">
        <v>59</v>
      </c>
      <c r="B12" s="18" t="n">
        <f aca="false">-B5*Assumptions!$B$6</f>
        <v>-9440</v>
      </c>
      <c r="C12" s="18" t="n">
        <f aca="false">-C5*Assumptions!$B$6</f>
        <v>-8960</v>
      </c>
      <c r="D12" s="18" t="n">
        <f aca="false">-D5*Assumptions!$B$6</f>
        <v>-8480</v>
      </c>
      <c r="E12" s="18" t="n">
        <f aca="false">-E5*Assumptions!$B$6</f>
        <v>-8640</v>
      </c>
      <c r="F12" s="18" t="n">
        <f aca="false">-F5*Assumptions!$B$6</f>
        <v>-8960</v>
      </c>
      <c r="G12" s="18" t="n">
        <f aca="false">-G5*Assumptions!$B$6</f>
        <v>-9280</v>
      </c>
      <c r="H12" s="18" t="n">
        <f aca="false">-H5*Assumptions!$B$6</f>
        <v>-9600</v>
      </c>
      <c r="I12" s="18" t="n">
        <f aca="false">-I5*Assumptions!$B$6</f>
        <v>-9760</v>
      </c>
      <c r="J12" s="18" t="n">
        <f aca="false">-J5*Assumptions!$B$6</f>
        <v>-9920</v>
      </c>
      <c r="K12" s="18" t="n">
        <f aca="false">-K5*Assumptions!$B$6</f>
        <v>-10240</v>
      </c>
      <c r="L12" s="18" t="n">
        <f aca="false">-L5*Assumptions!$B$6</f>
        <v>-10560</v>
      </c>
      <c r="M12" s="18" t="n">
        <f aca="false">-M5*Assumptions!$B$6</f>
        <v>-10960</v>
      </c>
      <c r="N12" s="15" t="n">
        <f aca="false">SUM(B12:M12)</f>
        <v>-114800</v>
      </c>
    </row>
    <row r="13" customFormat="false" ht="15" hidden="false" customHeight="false" outlineLevel="0" collapsed="false">
      <c r="A13" s="13" t="s">
        <v>60</v>
      </c>
      <c r="B13" s="18" t="n">
        <f aca="false">-B6*Assumptions!$B$14/(1-Assumptions!$B$13)</f>
        <v>-0</v>
      </c>
      <c r="C13" s="18" t="n">
        <f aca="false">-C6*Assumptions!$B$14/(1-Assumptions!$B$13)</f>
        <v>-0</v>
      </c>
      <c r="D13" s="18" t="n">
        <f aca="false">-D6*Assumptions!$B$14/(1-Assumptions!$B$13)</f>
        <v>-0</v>
      </c>
      <c r="E13" s="18" t="n">
        <f aca="false">-E6*Assumptions!$B$14/(1-Assumptions!$B$13)</f>
        <v>-0</v>
      </c>
      <c r="F13" s="18" t="n">
        <f aca="false">-F6*Assumptions!$B$14/(1-Assumptions!$B$13)</f>
        <v>-7333.33333333333</v>
      </c>
      <c r="G13" s="18" t="n">
        <f aca="false">-G6*Assumptions!$B$14/(1-Assumptions!$B$13)</f>
        <v>-14666.6666666667</v>
      </c>
      <c r="H13" s="18" t="n">
        <f aca="false">-H6*Assumptions!$B$14/(1-Assumptions!$B$13)</f>
        <v>-21333.3333333333</v>
      </c>
      <c r="I13" s="18" t="n">
        <f aca="false">-I6*Assumptions!$B$14/(1-Assumptions!$B$13)</f>
        <v>-22000</v>
      </c>
      <c r="J13" s="18" t="n">
        <f aca="false">-J6*Assumptions!$B$14/(1-Assumptions!$B$13)</f>
        <v>-22666.6666666667</v>
      </c>
      <c r="K13" s="18" t="n">
        <f aca="false">-K6*Assumptions!$B$14/(1-Assumptions!$B$13)</f>
        <v>-23333.3333333333</v>
      </c>
      <c r="L13" s="18" t="n">
        <f aca="false">-L6*Assumptions!$B$14/(1-Assumptions!$B$13)</f>
        <v>-23333.3333333333</v>
      </c>
      <c r="M13" s="18" t="n">
        <f aca="false">-M6*Assumptions!$B$14/(1-Assumptions!$B$13)</f>
        <v>-23666.6666666667</v>
      </c>
      <c r="N13" s="15" t="n">
        <f aca="false">SUM(B13:M13)</f>
        <v>-158333.333333333</v>
      </c>
    </row>
    <row r="14" customFormat="false" ht="15" hidden="false" customHeight="false" outlineLevel="0" collapsed="false">
      <c r="A14" s="16" t="s">
        <v>61</v>
      </c>
      <c r="B14" s="17" t="n">
        <f aca="false">B7+SUM(B11:B13)</f>
        <v>84960</v>
      </c>
      <c r="C14" s="17" t="n">
        <f aca="false">C7+SUM(C11:C13)</f>
        <v>80640</v>
      </c>
      <c r="D14" s="17" t="n">
        <f aca="false">D7+SUM(D11:D13)</f>
        <v>76320</v>
      </c>
      <c r="E14" s="17" t="n">
        <f aca="false">E7+SUM(E11:E13)</f>
        <v>77760</v>
      </c>
      <c r="F14" s="17" t="n">
        <f aca="false">F7+SUM(F11:F13)</f>
        <v>95306.6666666667</v>
      </c>
      <c r="G14" s="17" t="n">
        <f aca="false">G7+SUM(G11:G13)</f>
        <v>112853.333333333</v>
      </c>
      <c r="H14" s="17" t="n">
        <f aca="false">H7+SUM(H11:H13)</f>
        <v>129066.666666667</v>
      </c>
      <c r="I14" s="17" t="n">
        <f aca="false">I7+SUM(I11:I13)</f>
        <v>131840</v>
      </c>
      <c r="J14" s="17" t="n">
        <f aca="false">J7+SUM(J11:J13)</f>
        <v>134613.333333333</v>
      </c>
      <c r="K14" s="17" t="n">
        <f aca="false">K7+SUM(K11:K13)</f>
        <v>138826.666666667</v>
      </c>
      <c r="L14" s="17" t="n">
        <f aca="false">L7+SUM(L11:L13)</f>
        <v>141706.666666667</v>
      </c>
      <c r="M14" s="17" t="n">
        <f aca="false">M7+SUM(M11:M13)</f>
        <v>145973.333333333</v>
      </c>
      <c r="N14" s="15" t="n">
        <f aca="false">SUM(B14:M14)</f>
        <v>1349866.66666667</v>
      </c>
    </row>
    <row r="15" customFormat="false" ht="15" hidden="false" customHeight="false" outlineLevel="0" collapsed="false">
      <c r="A15" s="13" t="s">
        <v>62</v>
      </c>
      <c r="B15" s="19" t="n">
        <f aca="false">IF(B7=0,0,B14/B7)</f>
        <v>0.72</v>
      </c>
      <c r="C15" s="19" t="n">
        <f aca="false">IF(C7=0,0,C14/C7)</f>
        <v>0.72</v>
      </c>
      <c r="D15" s="19" t="n">
        <f aca="false">IF(D7=0,0,D14/D7)</f>
        <v>0.72</v>
      </c>
      <c r="E15" s="19" t="n">
        <f aca="false">IF(E7=0,0,E14/E7)</f>
        <v>0.72</v>
      </c>
      <c r="F15" s="19" t="n">
        <f aca="false">IF(F7=0,0,F14/F7)</f>
        <v>0.711243781094527</v>
      </c>
      <c r="G15" s="19" t="n">
        <f aca="false">IF(G7=0,0,G14/G7)</f>
        <v>0.705333333333333</v>
      </c>
      <c r="H15" s="19" t="n">
        <f aca="false">IF(H7=0,0,H14/H7)</f>
        <v>0.701449275362319</v>
      </c>
      <c r="I15" s="19" t="n">
        <f aca="false">IF(I7=0,0,I14/I7)</f>
        <v>0.701276595744681</v>
      </c>
      <c r="J15" s="19" t="n">
        <f aca="false">IF(J7=0,0,J14/J7)</f>
        <v>0.701111111111111</v>
      </c>
      <c r="K15" s="19" t="n">
        <f aca="false">IF(K7=0,0,K14/K7)</f>
        <v>0.701144781144781</v>
      </c>
      <c r="L15" s="19" t="n">
        <f aca="false">IF(L7=0,0,L14/L7)</f>
        <v>0.701518151815182</v>
      </c>
      <c r="M15" s="19" t="n">
        <f aca="false">IF(M7=0,0,M14/M7)</f>
        <v>0.701794871794872</v>
      </c>
      <c r="N15" s="20" t="n">
        <f aca="false">N14/N7</f>
        <v>0.70673647469459</v>
      </c>
    </row>
    <row r="17" customFormat="false" ht="15" hidden="false" customHeight="false" outlineLevel="0" collapsed="false">
      <c r="A17" s="13" t="s">
        <v>63</v>
      </c>
      <c r="B17" s="21" t="n">
        <f aca="false">-Assumptions!$B$7/12</f>
        <v>-20833.3333333333</v>
      </c>
      <c r="C17" s="21" t="n">
        <f aca="false">-Assumptions!$B$7/12</f>
        <v>-20833.3333333333</v>
      </c>
      <c r="D17" s="21" t="n">
        <f aca="false">-Assumptions!$B$7/12</f>
        <v>-20833.3333333333</v>
      </c>
      <c r="E17" s="21" t="n">
        <f aca="false">-Assumptions!$B$7/12</f>
        <v>-20833.3333333333</v>
      </c>
      <c r="F17" s="21" t="n">
        <f aca="false">-Assumptions!$B$7/12</f>
        <v>-20833.3333333333</v>
      </c>
      <c r="G17" s="21" t="n">
        <f aca="false">-Assumptions!$B$7/12</f>
        <v>-20833.3333333333</v>
      </c>
      <c r="H17" s="21" t="n">
        <f aca="false">-Assumptions!$B$7/12</f>
        <v>-20833.3333333333</v>
      </c>
      <c r="I17" s="21" t="n">
        <f aca="false">-Assumptions!$B$7/12</f>
        <v>-20833.3333333333</v>
      </c>
      <c r="J17" s="21" t="n">
        <f aca="false">-Assumptions!$B$7/12</f>
        <v>-20833.3333333333</v>
      </c>
      <c r="K17" s="21" t="n">
        <f aca="false">-Assumptions!$B$7/12</f>
        <v>-20833.3333333333</v>
      </c>
      <c r="L17" s="21" t="n">
        <f aca="false">-Assumptions!$B$7/12</f>
        <v>-20833.3333333333</v>
      </c>
      <c r="M17" s="21" t="n">
        <f aca="false">-Assumptions!$B$7/12</f>
        <v>-20833.3333333333</v>
      </c>
      <c r="N17" s="15" t="n">
        <f aca="false">SUM(B17:M17)</f>
        <v>-250000</v>
      </c>
    </row>
    <row r="18" customFormat="false" ht="15" hidden="false" customHeight="false" outlineLevel="0" collapsed="false">
      <c r="A18" s="16" t="s">
        <v>64</v>
      </c>
      <c r="B18" s="17" t="n">
        <f aca="false">B14+B17</f>
        <v>64126.6666666667</v>
      </c>
      <c r="C18" s="17" t="n">
        <f aca="false">C14+C17</f>
        <v>59806.6666666667</v>
      </c>
      <c r="D18" s="17" t="n">
        <f aca="false">D14+D17</f>
        <v>55486.6666666667</v>
      </c>
      <c r="E18" s="17" t="n">
        <f aca="false">E14+E17</f>
        <v>56926.6666666667</v>
      </c>
      <c r="F18" s="17" t="n">
        <f aca="false">F14+F17</f>
        <v>74473.3333333333</v>
      </c>
      <c r="G18" s="17" t="n">
        <f aca="false">G14+G17</f>
        <v>92020</v>
      </c>
      <c r="H18" s="17" t="n">
        <f aca="false">H14+H17</f>
        <v>108233.333333333</v>
      </c>
      <c r="I18" s="17" t="n">
        <f aca="false">I14+I17</f>
        <v>111006.666666667</v>
      </c>
      <c r="J18" s="17" t="n">
        <f aca="false">J14+J17</f>
        <v>113780</v>
      </c>
      <c r="K18" s="17" t="n">
        <f aca="false">K14+K17</f>
        <v>117993.333333333</v>
      </c>
      <c r="L18" s="17" t="n">
        <f aca="false">L14+L17</f>
        <v>120873.333333333</v>
      </c>
      <c r="M18" s="17" t="n">
        <f aca="false">M14+M17</f>
        <v>125140</v>
      </c>
      <c r="N18" s="15" t="n">
        <f aca="false">SUM(B18:M18)</f>
        <v>1099866.66666667</v>
      </c>
    </row>
    <row r="19" customFormat="false" ht="15" hidden="false" customHeight="false" outlineLevel="0" collapsed="false">
      <c r="A19" s="13" t="s">
        <v>65</v>
      </c>
      <c r="B19" s="18" t="n">
        <f aca="false">B18</f>
        <v>64126.6666666667</v>
      </c>
      <c r="C19" s="18" t="n">
        <f aca="false">B19+C18</f>
        <v>123933.333333333</v>
      </c>
      <c r="D19" s="18" t="n">
        <f aca="false">C19+D18</f>
        <v>179420</v>
      </c>
      <c r="E19" s="18" t="n">
        <f aca="false">D19+E18</f>
        <v>236346.666666667</v>
      </c>
      <c r="F19" s="18" t="n">
        <f aca="false">E19+F18</f>
        <v>310820</v>
      </c>
      <c r="G19" s="18" t="n">
        <f aca="false">F19+G18</f>
        <v>402840</v>
      </c>
      <c r="H19" s="18" t="n">
        <f aca="false">G19+H18</f>
        <v>511073.333333333</v>
      </c>
      <c r="I19" s="18" t="n">
        <f aca="false">H19+I18</f>
        <v>622080</v>
      </c>
      <c r="J19" s="18" t="n">
        <f aca="false">I19+J18</f>
        <v>735860</v>
      </c>
      <c r="K19" s="18" t="n">
        <f aca="false">J19+K18</f>
        <v>853853.333333333</v>
      </c>
      <c r="L19" s="18" t="n">
        <f aca="false">K19+L18</f>
        <v>974726.666666667</v>
      </c>
      <c r="M19" s="18" t="n">
        <f aca="false">L19+M18</f>
        <v>1099866.66666667</v>
      </c>
    </row>
    <row r="21" customFormat="false" ht="15" hidden="false" customHeight="false" outlineLevel="0" collapsed="false">
      <c r="A21" s="22" t="s">
        <v>66</v>
      </c>
      <c r="B21" s="23" t="n">
        <f aca="false">N7/N8-1</f>
        <v>0.19375</v>
      </c>
    </row>
    <row r="22" customFormat="false" ht="15" hidden="false" customHeight="false" outlineLevel="0" collapsed="false">
      <c r="A22" s="22" t="s">
        <v>67</v>
      </c>
      <c r="B22" s="23" t="n">
        <f aca="false">N6/N7</f>
        <v>0.24869109947644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0"/>
    <col collapsed="false" customWidth="true" hidden="false" outlineLevel="0" max="6" min="2" style="0" width="18"/>
  </cols>
  <sheetData>
    <row r="1" customFormat="false" ht="19.7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69</v>
      </c>
    </row>
    <row r="4" customFormat="false" ht="15" hidden="false" customHeight="false" outlineLevel="0" collapsed="false">
      <c r="A4" s="3" t="s">
        <v>70</v>
      </c>
      <c r="B4" s="4" t="s">
        <v>3</v>
      </c>
      <c r="C4" s="4"/>
      <c r="D4" s="4"/>
      <c r="E4" s="4"/>
      <c r="F4" s="4"/>
    </row>
    <row r="5" customFormat="false" ht="15" hidden="false" customHeight="false" outlineLevel="0" collapsed="false">
      <c r="A5" s="13" t="s">
        <v>71</v>
      </c>
      <c r="B5" s="24" t="n">
        <f aca="false">Assumptions!$B$10*Assumptions!$B$11*Assumptions!$B$17</f>
        <v>74880</v>
      </c>
    </row>
    <row r="6" customFormat="false" ht="15" hidden="false" customHeight="false" outlineLevel="0" collapsed="false">
      <c r="A6" s="13" t="s">
        <v>72</v>
      </c>
      <c r="B6" s="18" t="n">
        <f aca="false">B5*Assumptions!$B$12</f>
        <v>1946880</v>
      </c>
    </row>
    <row r="7" customFormat="false" ht="15" hidden="false" customHeight="false" outlineLevel="0" collapsed="false">
      <c r="A7" s="13" t="s">
        <v>25</v>
      </c>
      <c r="B7" s="18" t="n">
        <f aca="false">-B6*Assumptions!$B$13</f>
        <v>-778752</v>
      </c>
    </row>
    <row r="8" customFormat="false" ht="15" hidden="false" customHeight="false" outlineLevel="0" collapsed="false">
      <c r="A8" s="16" t="s">
        <v>73</v>
      </c>
      <c r="B8" s="17" t="n">
        <f aca="false">B6+B7</f>
        <v>1168128</v>
      </c>
    </row>
    <row r="9" customFormat="false" ht="15" hidden="false" customHeight="false" outlineLevel="0" collapsed="false">
      <c r="A9" s="13" t="s">
        <v>74</v>
      </c>
      <c r="B9" s="18" t="n">
        <f aca="false">-B6*Assumptions!$B$14</f>
        <v>-389376</v>
      </c>
    </row>
    <row r="10" customFormat="false" ht="15" hidden="false" customHeight="false" outlineLevel="0" collapsed="false">
      <c r="A10" s="16" t="s">
        <v>75</v>
      </c>
      <c r="B10" s="17" t="n">
        <f aca="false">B8+B9</f>
        <v>778752</v>
      </c>
    </row>
    <row r="11" customFormat="false" ht="15" hidden="false" customHeight="false" outlineLevel="0" collapsed="false">
      <c r="A11" s="13" t="s">
        <v>29</v>
      </c>
      <c r="B11" s="18" t="n">
        <f aca="false">-Assumptions!$B$15</f>
        <v>-60000</v>
      </c>
    </row>
    <row r="12" customFormat="false" ht="15" hidden="false" customHeight="false" outlineLevel="0" collapsed="false">
      <c r="A12" s="13" t="s">
        <v>76</v>
      </c>
      <c r="B12" s="18" t="n">
        <f aca="false">-Assumptions!$B$10*Assumptions!$B$16</f>
        <v>-42000</v>
      </c>
    </row>
    <row r="13" customFormat="false" ht="15" hidden="false" customHeight="false" outlineLevel="0" collapsed="false">
      <c r="A13" s="16" t="s">
        <v>77</v>
      </c>
      <c r="B13" s="15" t="n">
        <f aca="false">B10+B11+B12</f>
        <v>676752</v>
      </c>
    </row>
    <row r="15" customFormat="false" ht="15" hidden="false" customHeight="false" outlineLevel="0" collapsed="false">
      <c r="A15" s="13" t="s">
        <v>78</v>
      </c>
      <c r="B15" s="25" t="n">
        <f aca="false">IFERROR(-(B11+B12)/(B10/Assumptions!$B$17),0)</f>
        <v>6.81089743589744</v>
      </c>
    </row>
    <row r="16" customFormat="false" ht="15" hidden="false" customHeight="false" outlineLevel="0" collapsed="false">
      <c r="A16" s="13" t="s">
        <v>79</v>
      </c>
      <c r="B16" s="19" t="n">
        <f aca="false">B10/B6</f>
        <v>0.4</v>
      </c>
    </row>
    <row r="18" customFormat="false" ht="15" hidden="false" customHeight="false" outlineLevel="0" collapsed="false">
      <c r="A18" s="16" t="s">
        <v>80</v>
      </c>
    </row>
    <row r="19" customFormat="false" ht="15" hidden="false" customHeight="false" outlineLevel="0" collapsed="false">
      <c r="A19" s="16" t="s">
        <v>81</v>
      </c>
      <c r="B19" s="26" t="n">
        <v>0.35</v>
      </c>
      <c r="C19" s="26" t="n">
        <v>0.4</v>
      </c>
      <c r="D19" s="26" t="n">
        <v>0.45</v>
      </c>
      <c r="E19" s="26" t="n">
        <v>0.5</v>
      </c>
    </row>
    <row r="20" customFormat="false" ht="15" hidden="false" customHeight="false" outlineLevel="0" collapsed="false">
      <c r="A20" s="27" t="n">
        <v>6</v>
      </c>
      <c r="B20" s="18" t="n">
        <f aca="false">Assumptions!$B$10*$A20*Assumptions!$B$17*Assumptions!$B$12*(1-B$19-Assumptions!$B$14)-Assumptions!$B$15-Assumptions!$B$10*Assumptions!$B$16</f>
        <v>336048</v>
      </c>
      <c r="C20" s="18" t="n">
        <f aca="false">Assumptions!$B$10*$A20*Assumptions!$B$17*Assumptions!$B$12*(1-C$19-Assumptions!$B$14)-Assumptions!$B$15-Assumptions!$B$10*Assumptions!$B$16</f>
        <v>287376</v>
      </c>
      <c r="D20" s="18" t="n">
        <f aca="false">Assumptions!$B$10*$A20*Assumptions!$B$17*Assumptions!$B$12*(1-D$19-Assumptions!$B$14)-Assumptions!$B$15-Assumptions!$B$10*Assumptions!$B$16</f>
        <v>238704</v>
      </c>
      <c r="E20" s="18" t="n">
        <f aca="false">Assumptions!$B$10*$A20*Assumptions!$B$17*Assumptions!$B$12*(1-E$19-Assumptions!$B$14)-Assumptions!$B$15-Assumptions!$B$10*Assumptions!$B$16</f>
        <v>190032</v>
      </c>
    </row>
    <row r="21" customFormat="false" ht="15" hidden="false" customHeight="false" outlineLevel="0" collapsed="false">
      <c r="A21" s="27" t="n">
        <v>9</v>
      </c>
      <c r="B21" s="18" t="n">
        <f aca="false">Assumptions!$B$10*$A21*Assumptions!$B$17*Assumptions!$B$12*(1-B$19-Assumptions!$B$14)-Assumptions!$B$15-Assumptions!$B$10*Assumptions!$B$16</f>
        <v>555072</v>
      </c>
      <c r="C21" s="18" t="n">
        <f aca="false">Assumptions!$B$10*$A21*Assumptions!$B$17*Assumptions!$B$12*(1-C$19-Assumptions!$B$14)-Assumptions!$B$15-Assumptions!$B$10*Assumptions!$B$16</f>
        <v>482064</v>
      </c>
      <c r="D21" s="18" t="n">
        <f aca="false">Assumptions!$B$10*$A21*Assumptions!$B$17*Assumptions!$B$12*(1-D$19-Assumptions!$B$14)-Assumptions!$B$15-Assumptions!$B$10*Assumptions!$B$16</f>
        <v>409056</v>
      </c>
      <c r="E21" s="18" t="n">
        <f aca="false">Assumptions!$B$10*$A21*Assumptions!$B$17*Assumptions!$B$12*(1-E$19-Assumptions!$B$14)-Assumptions!$B$15-Assumptions!$B$10*Assumptions!$B$16</f>
        <v>336048</v>
      </c>
    </row>
    <row r="22" customFormat="false" ht="15" hidden="false" customHeight="false" outlineLevel="0" collapsed="false">
      <c r="A22" s="27" t="n">
        <v>12</v>
      </c>
      <c r="B22" s="18" t="n">
        <f aca="false">Assumptions!$B$10*$A22*Assumptions!$B$17*Assumptions!$B$12*(1-B$19-Assumptions!$B$14)-Assumptions!$B$15-Assumptions!$B$10*Assumptions!$B$16</f>
        <v>774096</v>
      </c>
      <c r="C22" s="28" t="n">
        <f aca="false">Assumptions!$B$10*$A22*Assumptions!$B$17*Assumptions!$B$12*(1-C$19-Assumptions!$B$14)-Assumptions!$B$15-Assumptions!$B$10*Assumptions!$B$16</f>
        <v>676752</v>
      </c>
      <c r="D22" s="18" t="n">
        <f aca="false">Assumptions!$B$10*$A22*Assumptions!$B$17*Assumptions!$B$12*(1-D$19-Assumptions!$B$14)-Assumptions!$B$15-Assumptions!$B$10*Assumptions!$B$16</f>
        <v>579408</v>
      </c>
      <c r="E22" s="18" t="n">
        <f aca="false">Assumptions!$B$10*$A22*Assumptions!$B$17*Assumptions!$B$12*(1-E$19-Assumptions!$B$14)-Assumptions!$B$15-Assumptions!$B$10*Assumptions!$B$16</f>
        <v>482064</v>
      </c>
    </row>
    <row r="23" customFormat="false" ht="15" hidden="false" customHeight="false" outlineLevel="0" collapsed="false">
      <c r="A23" s="27" t="n">
        <v>15</v>
      </c>
      <c r="B23" s="18" t="n">
        <f aca="false">Assumptions!$B$10*$A23*Assumptions!$B$17*Assumptions!$B$12*(1-B$19-Assumptions!$B$14)-Assumptions!$B$15-Assumptions!$B$10*Assumptions!$B$16</f>
        <v>993120</v>
      </c>
      <c r="C23" s="18" t="n">
        <f aca="false">Assumptions!$B$10*$A23*Assumptions!$B$17*Assumptions!$B$12*(1-C$19-Assumptions!$B$14)-Assumptions!$B$15-Assumptions!$B$10*Assumptions!$B$16</f>
        <v>871440</v>
      </c>
      <c r="D23" s="18" t="n">
        <f aca="false">Assumptions!$B$10*$A23*Assumptions!$B$17*Assumptions!$B$12*(1-D$19-Assumptions!$B$14)-Assumptions!$B$15-Assumptions!$B$10*Assumptions!$B$16</f>
        <v>749760</v>
      </c>
      <c r="E23" s="18" t="n">
        <f aca="false">Assumptions!$B$10*$A23*Assumptions!$B$17*Assumptions!$B$12*(1-E$19-Assumptions!$B$14)-Assumptions!$B$15-Assumptions!$B$10*Assumptions!$B$16</f>
        <v>628080</v>
      </c>
    </row>
    <row r="24" customFormat="false" ht="15" hidden="false" customHeight="false" outlineLevel="0" collapsed="false">
      <c r="A24" s="27" t="n">
        <v>18</v>
      </c>
      <c r="B24" s="18" t="n">
        <f aca="false">Assumptions!$B$10*$A24*Assumptions!$B$17*Assumptions!$B$12*(1-B$19-Assumptions!$B$14)-Assumptions!$B$15-Assumptions!$B$10*Assumptions!$B$16</f>
        <v>1212144</v>
      </c>
      <c r="C24" s="18" t="n">
        <f aca="false">Assumptions!$B$10*$A24*Assumptions!$B$17*Assumptions!$B$12*(1-C$19-Assumptions!$B$14)-Assumptions!$B$15-Assumptions!$B$10*Assumptions!$B$16</f>
        <v>1066128</v>
      </c>
      <c r="D24" s="18" t="n">
        <f aca="false">Assumptions!$B$10*$A24*Assumptions!$B$17*Assumptions!$B$12*(1-D$19-Assumptions!$B$14)-Assumptions!$B$15-Assumptions!$B$10*Assumptions!$B$16</f>
        <v>920112</v>
      </c>
      <c r="E24" s="18" t="n">
        <f aca="false">Assumptions!$B$10*$A24*Assumptions!$B$17*Assumptions!$B$12*(1-E$19-Assumptions!$B$14)-Assumptions!$B$15-Assumptions!$B$10*Assumptions!$B$16</f>
        <v>774096</v>
      </c>
    </row>
    <row r="26" customFormat="false" ht="15" hidden="false" customHeight="false" outlineLevel="0" collapsed="false">
      <c r="A26" s="12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LibreOffice/25.2.5.2$Linux_X86_64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2026-11-06T01:43:04Z</dcterms:created>
  <dc:creator>openpyxl</dc:creator>
  <dc:description/>
  <dc:language>en-US</dc:language>
  <cp:lastModifiedBy/>
  <dcterms:modified xsi:type="dcterms:W3CDTF">2026-11-06T01:43:07Z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